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710" activeTab="0"/>
  </bookViews>
  <sheets>
    <sheet name="Statstilskud 2017" sheetId="1" r:id="rId1"/>
  </sheets>
  <definedNames>
    <definedName name="_xlnm.Print_Area" localSheetId="0">'Statstilskud 2017'!$K$21:$AA$92</definedName>
  </definedNames>
  <calcPr fullCalcOnLoad="1"/>
</workbook>
</file>

<file path=xl/sharedStrings.xml><?xml version="1.0" encoding="utf-8"?>
<sst xmlns="http://schemas.openxmlformats.org/spreadsheetml/2006/main" count="156" uniqueCount="109">
  <si>
    <t>Udfyld de lyseblå felter</t>
  </si>
  <si>
    <t>SKOLENS oplysninger:</t>
  </si>
  <si>
    <t>TOTAL</t>
  </si>
  <si>
    <t>HERAF</t>
  </si>
  <si>
    <t>Årselever i alt</t>
  </si>
  <si>
    <t>Skolens ÅE:</t>
  </si>
  <si>
    <t>aktiverede:</t>
  </si>
  <si>
    <t>excl. aktiverede:</t>
  </si>
  <si>
    <t>Takst 1</t>
  </si>
  <si>
    <t>Takst 2</t>
  </si>
  <si>
    <t>ÅE på kurser på min. 2 uger</t>
  </si>
  <si>
    <t>Takst 3</t>
  </si>
  <si>
    <t>ÅE på kurser på min. 12 uger</t>
  </si>
  <si>
    <t>ÅE i alt (NB! Evt. fast tilskud)</t>
  </si>
  <si>
    <t>Handicapp.</t>
  </si>
  <si>
    <t>ÅE handicappede</t>
  </si>
  <si>
    <t>Specialund.</t>
  </si>
  <si>
    <t>ÅE specialundervisning</t>
  </si>
  <si>
    <t>Indv. Elevstøtte</t>
  </si>
  <si>
    <t>ÅE unge u/komp.</t>
  </si>
  <si>
    <t>Unge u/18 - kostelever</t>
  </si>
  <si>
    <t>Kun for Ungd.hsk. ÅE u/18 kost</t>
  </si>
  <si>
    <t>Unge u/18 - dagelever</t>
  </si>
  <si>
    <t>Kun for Ungd.hsk. ÅE u/18 dag</t>
  </si>
  <si>
    <t>Øvrige indtægter, virksomhed udenfor lovens område kr.</t>
  </si>
  <si>
    <t>Anføres kun hvis over kr.</t>
  </si>
  <si>
    <t>Valgt FL år:</t>
  </si>
  <si>
    <t>Finanslovens oplysninger -  ENHEDSOMKOSTNINGER</t>
  </si>
  <si>
    <t>Udløses af:</t>
  </si>
  <si>
    <t>1 stk pr skole</t>
  </si>
  <si>
    <t>Grundtilskud</t>
  </si>
  <si>
    <t>1.1</t>
  </si>
  <si>
    <t>Kr. pr. ÅE</t>
  </si>
  <si>
    <t>1.2</t>
  </si>
  <si>
    <t>Bygningsgrundtilskud</t>
  </si>
  <si>
    <t>3.2</t>
  </si>
  <si>
    <t>Bygningstaksameter</t>
  </si>
  <si>
    <t>For Ungd.hsk. ÅE u/18</t>
  </si>
  <si>
    <t>Øvrige indtægter, virksomhed udenfor lovens område over kr.</t>
  </si>
  <si>
    <t>Bevirker at grundtilskuddet reduceres for den overskydende del med:</t>
  </si>
  <si>
    <t>er fyldt 18 år ved kursusstart</t>
  </si>
  <si>
    <t>kursus 12 uger og derover</t>
  </si>
  <si>
    <t>KOSTELEVER</t>
  </si>
  <si>
    <t>DAGELEVER</t>
  </si>
  <si>
    <t>kursus UNDER 12 uger</t>
  </si>
  <si>
    <t>IKKE er fyldt 18 år ved k.start</t>
  </si>
  <si>
    <t>Mellemregning</t>
  </si>
  <si>
    <t>Statstilskud</t>
  </si>
  <si>
    <t>Skolens grundtilskud</t>
  </si>
  <si>
    <t>Grundsats kr.</t>
  </si>
  <si>
    <t>Øvrige indtægter på kr.</t>
  </si>
  <si>
    <t>medfører reduktion på kr.</t>
  </si>
  <si>
    <t>Taxametertilskud</t>
  </si>
  <si>
    <t>Takst 1 tilskud</t>
  </si>
  <si>
    <t>Takst 2 tilskud</t>
  </si>
  <si>
    <t>Takst 3 tilskud</t>
  </si>
  <si>
    <t>Bygningstaksameter / evt. fast tilskud</t>
  </si>
  <si>
    <t>Taksameterberegnet kr.</t>
  </si>
  <si>
    <t>Specialtilskud til fac. for handicappede</t>
  </si>
  <si>
    <t>Specialtilskud til fac. for specialundervisning</t>
  </si>
  <si>
    <t>Individuel elevstøtte</t>
  </si>
  <si>
    <t>Specialtilskud til fac. for indvandrer undervisning</t>
  </si>
  <si>
    <t>Undervisning af unge uden kompetencegivende uddannelse</t>
  </si>
  <si>
    <t>Specielt for ungdomshøjskoler udløses tilskud for:</t>
  </si>
  <si>
    <t>beregning af statstilskud.</t>
  </si>
  <si>
    <t>Det indbærer at aktiveringselever skal opføres, hvorefter disse i nærværende regneark fratrækkes før</t>
  </si>
  <si>
    <t>Finanslovforslagets oplysninger</t>
  </si>
  <si>
    <t xml:space="preserve">Mindste ugentlige elevbetaling for elever der: </t>
  </si>
  <si>
    <t>Efterregulering</t>
  </si>
  <si>
    <t xml:space="preserve">Statstilskud udløses af ÅE excl. Aktiverede. </t>
  </si>
  <si>
    <t>Aktiverede faktureres til anden myndighed!</t>
  </si>
  <si>
    <t>ÅE ex. aktiverede:</t>
  </si>
  <si>
    <t>Regulering i alt</t>
  </si>
  <si>
    <t>Specialundervisning</t>
  </si>
  <si>
    <t>Svært Handicappede</t>
  </si>
  <si>
    <t>Tillægstakst: Unge u/komp</t>
  </si>
  <si>
    <t>1.3</t>
  </si>
  <si>
    <t>ÅE på ekstern uddannelse</t>
  </si>
  <si>
    <t>xx% af Takst 1+2+3</t>
  </si>
  <si>
    <t>(Ekstern uddannelse)</t>
  </si>
  <si>
    <t>Forskudsberegningen sker på baggrund af skolens årselevtal i det netop afsluttede skoleår.</t>
  </si>
  <si>
    <t>Årselevtallet danner samtidig grundlag for beregningen af efterreguleringen i indeværende finansår.</t>
  </si>
  <si>
    <t>Beregningen omfatter alene statstilskuddet. Betaling fra kommuner og AF-kontorer for aktiveringselever indgår IKKE.</t>
  </si>
  <si>
    <t>Unge u/komp m/U-plan</t>
  </si>
  <si>
    <t>Unge u/komp u/U-plan</t>
  </si>
  <si>
    <t>ÅE unge u/komp. m/U-plan</t>
  </si>
  <si>
    <t>ÅE unge u/komp. u/U-plan</t>
  </si>
  <si>
    <t>(Mentorordningen)</t>
  </si>
  <si>
    <t>Beregning foretages for seniorhøjskole:</t>
  </si>
  <si>
    <t>FL 2015</t>
  </si>
  <si>
    <t>FL 2016</t>
  </si>
  <si>
    <t>FL 2017</t>
  </si>
  <si>
    <t>FL 2018</t>
  </si>
  <si>
    <t>FL 2019</t>
  </si>
  <si>
    <t>FL 2020</t>
  </si>
  <si>
    <t>FL 2021</t>
  </si>
  <si>
    <t>FL 2022</t>
  </si>
  <si>
    <t>FL 2023</t>
  </si>
  <si>
    <t>FL 2024</t>
  </si>
  <si>
    <t>FL 2025</t>
  </si>
  <si>
    <t>FL 2026</t>
  </si>
  <si>
    <t>1 stk pr Seniorhøjskole</t>
  </si>
  <si>
    <t>Særligt tilskud 2016+17+18</t>
  </si>
  <si>
    <t>nej</t>
  </si>
  <si>
    <t>ÅE på kurser på max 1 uge</t>
  </si>
  <si>
    <t>ÅE på kurser på min. 2 uger og mas 11</t>
  </si>
  <si>
    <t>Beregning af skolens tilskud på grundlag af årselevtal og finanslov for året: (2016 og 2017 er muligt):</t>
  </si>
  <si>
    <t>Beregningen sker for 2017 på baggrund af finanslovsforslaget takster.</t>
  </si>
  <si>
    <t>Beregning af højskolens statstilskud.</t>
  </si>
</sst>
</file>

<file path=xl/styles.xml><?xml version="1.0" encoding="utf-8"?>
<styleSheet xmlns="http://schemas.openxmlformats.org/spreadsheetml/2006/main">
  <numFmts count="4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00"/>
    <numFmt numFmtId="173" formatCode="0.0%"/>
    <numFmt numFmtId="174" formatCode="#,##0.0000"/>
    <numFmt numFmtId="175" formatCode="#,##0.0"/>
    <numFmt numFmtId="176" formatCode="0.0"/>
    <numFmt numFmtId="177" formatCode="0.000"/>
    <numFmt numFmtId="178" formatCode="0.0000"/>
    <numFmt numFmtId="179" formatCode="0.00000"/>
    <numFmt numFmtId="180" formatCode="#,##0.00000"/>
    <numFmt numFmtId="181" formatCode="0.000000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dd\-mm\-yyyy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\$* #,##0_);_(\$* \(#,##0\);_(\$* &quot;-&quot;_);_(@_)"/>
    <numFmt numFmtId="193" formatCode="_(\$* #,##0.00_);_(\$* \(#,##0.00\);_(\$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&quot;Ja&quot;;&quot;Ja&quot;;&quot;Nej&quot;"/>
    <numFmt numFmtId="198" formatCode="&quot;Sand&quot;;&quot;Sand&quot;;&quot;Falsk&quot;"/>
    <numFmt numFmtId="199" formatCode="&quot;Til&quot;;&quot;Til&quot;;&quot;Fra&quot;"/>
    <numFmt numFmtId="200" formatCode="[$€-2]\ #.##000_);[Red]\([$€-2]\ #.##000\)"/>
  </numFmts>
  <fonts count="5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4"/>
      <name val="Arial"/>
      <family val="0"/>
    </font>
    <font>
      <b/>
      <sz val="7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1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0" borderId="3" applyNumberFormat="0" applyAlignment="0" applyProtection="0"/>
    <xf numFmtId="0" fontId="16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3" fontId="0" fillId="33" borderId="12" xfId="0" applyNumberFormat="1" applyFill="1" applyBorder="1" applyAlignment="1" applyProtection="1">
      <alignment/>
      <protection locked="0"/>
    </xf>
    <xf numFmtId="0" fontId="1" fillId="34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35" borderId="0" xfId="0" applyFill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 applyProtection="1">
      <alignment/>
      <protection locked="0"/>
    </xf>
    <xf numFmtId="3" fontId="1" fillId="33" borderId="0" xfId="0" applyNumberFormat="1" applyFont="1" applyFill="1" applyAlignment="1" applyProtection="1">
      <alignment horizontal="right"/>
      <protection locked="0"/>
    </xf>
    <xf numFmtId="0" fontId="1" fillId="35" borderId="0" xfId="0" applyFont="1" applyFill="1" applyAlignment="1">
      <alignment/>
    </xf>
    <xf numFmtId="3" fontId="8" fillId="33" borderId="0" xfId="0" applyNumberFormat="1" applyFont="1" applyFill="1" applyAlignment="1" applyProtection="1">
      <alignment horizontal="right"/>
      <protection locked="0"/>
    </xf>
    <xf numFmtId="0" fontId="0" fillId="35" borderId="0" xfId="0" applyFont="1" applyFill="1" applyAlignment="1">
      <alignment/>
    </xf>
    <xf numFmtId="173" fontId="0" fillId="0" borderId="0" xfId="57" applyNumberFormat="1" applyAlignment="1">
      <alignment/>
    </xf>
    <xf numFmtId="173" fontId="1" fillId="33" borderId="0" xfId="57" applyNumberFormat="1" applyFont="1" applyFill="1" applyAlignment="1" applyProtection="1">
      <alignment horizontal="right"/>
      <protection locked="0"/>
    </xf>
    <xf numFmtId="0" fontId="7" fillId="35" borderId="0" xfId="0" applyFont="1" applyFill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34" borderId="0" xfId="0" applyFont="1" applyFill="1" applyAlignment="1">
      <alignment/>
    </xf>
    <xf numFmtId="3" fontId="2" fillId="0" borderId="13" xfId="0" applyNumberFormat="1" applyFont="1" applyBorder="1" applyAlignment="1">
      <alignment/>
    </xf>
    <xf numFmtId="0" fontId="11" fillId="35" borderId="0" xfId="0" applyFont="1" applyFill="1" applyAlignment="1">
      <alignment horizontal="left"/>
    </xf>
    <xf numFmtId="0" fontId="11" fillId="35" borderId="0" xfId="0" applyFont="1" applyFill="1" applyAlignment="1">
      <alignment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0" fontId="0" fillId="36" borderId="14" xfId="0" applyFill="1" applyBorder="1" applyAlignment="1">
      <alignment horizontal="center"/>
    </xf>
    <xf numFmtId="0" fontId="5" fillId="0" borderId="14" xfId="0" applyFont="1" applyBorder="1" applyAlignment="1">
      <alignment/>
    </xf>
    <xf numFmtId="180" fontId="0" fillId="37" borderId="15" xfId="0" applyNumberFormat="1" applyFill="1" applyBorder="1" applyAlignment="1" applyProtection="1">
      <alignment/>
      <protection/>
    </xf>
    <xf numFmtId="180" fontId="0" fillId="0" borderId="14" xfId="0" applyNumberFormat="1" applyBorder="1" applyAlignment="1">
      <alignment/>
    </xf>
    <xf numFmtId="1" fontId="6" fillId="38" borderId="12" xfId="0" applyNumberFormat="1" applyFont="1" applyFill="1" applyBorder="1" applyAlignment="1" applyProtection="1">
      <alignment horizontal="center"/>
      <protection locked="0"/>
    </xf>
    <xf numFmtId="0" fontId="13" fillId="39" borderId="0" xfId="0" applyFont="1" applyFill="1" applyAlignment="1">
      <alignment/>
    </xf>
    <xf numFmtId="0" fontId="13" fillId="39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1" fontId="0" fillId="34" borderId="0" xfId="0" applyNumberFormat="1" applyFill="1" applyAlignment="1">
      <alignment/>
    </xf>
    <xf numFmtId="3" fontId="0" fillId="0" borderId="18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180" fontId="0" fillId="33" borderId="20" xfId="0" applyNumberFormat="1" applyFill="1" applyBorder="1" applyAlignment="1" applyProtection="1">
      <alignment/>
      <protection locked="0"/>
    </xf>
    <xf numFmtId="180" fontId="0" fillId="33" borderId="14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right"/>
    </xf>
    <xf numFmtId="3" fontId="0" fillId="0" borderId="22" xfId="0" applyNumberFormat="1" applyBorder="1" applyAlignment="1">
      <alignment/>
    </xf>
    <xf numFmtId="0" fontId="0" fillId="0" borderId="23" xfId="0" applyFont="1" applyBorder="1" applyAlignment="1">
      <alignment horizontal="center"/>
    </xf>
    <xf numFmtId="180" fontId="0" fillId="33" borderId="12" xfId="0" applyNumberFormat="1" applyFill="1" applyBorder="1" applyAlignment="1" applyProtection="1">
      <alignment/>
      <protection locked="0"/>
    </xf>
    <xf numFmtId="3" fontId="13" fillId="0" borderId="0" xfId="0" applyNumberFormat="1" applyFont="1" applyAlignment="1">
      <alignment/>
    </xf>
    <xf numFmtId="180" fontId="0" fillId="33" borderId="0" xfId="0" applyNumberForma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53" fillId="0" borderId="0" xfId="0" applyFont="1" applyAlignment="1">
      <alignment/>
    </xf>
    <xf numFmtId="0" fontId="6" fillId="0" borderId="0" xfId="0" applyFont="1" applyAlignment="1">
      <alignment horizontal="right"/>
    </xf>
    <xf numFmtId="1" fontId="6" fillId="40" borderId="12" xfId="0" applyNumberFormat="1" applyFont="1" applyFill="1" applyBorder="1" applyAlignment="1" applyProtection="1">
      <alignment horizontal="center"/>
      <protection locked="0"/>
    </xf>
    <xf numFmtId="0" fontId="0" fillId="36" borderId="24" xfId="0" applyFill="1" applyBorder="1" applyAlignment="1">
      <alignment/>
    </xf>
    <xf numFmtId="1" fontId="0" fillId="36" borderId="24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41" borderId="0" xfId="0" applyFill="1" applyAlignment="1">
      <alignment horizontal="center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Euro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J21:AB129"/>
  <sheetViews>
    <sheetView tabSelected="1" zoomScalePageLayoutView="0" workbookViewId="0" topLeftCell="K21">
      <pane ySplit="1" topLeftCell="A22" activePane="bottomLeft" state="frozen"/>
      <selection pane="topLeft" activeCell="K21" sqref="K21"/>
      <selection pane="bottomLeft" activeCell="AF38" sqref="AF38"/>
    </sheetView>
  </sheetViews>
  <sheetFormatPr defaultColWidth="9.140625" defaultRowHeight="12.75" outlineLevelRow="1" outlineLevelCol="1"/>
  <cols>
    <col min="1" max="9" width="2.7109375" style="0" hidden="1" customWidth="1" outlineLevel="1"/>
    <col min="10" max="10" width="6.00390625" style="24" hidden="1" customWidth="1" outlineLevel="1"/>
    <col min="11" max="11" width="21.140625" style="0" customWidth="1" collapsed="1"/>
    <col min="12" max="13" width="28.8515625" style="0" customWidth="1"/>
    <col min="14" max="14" width="14.28125" style="0" customWidth="1"/>
    <col min="15" max="16" width="14.140625" style="0" bestFit="1" customWidth="1"/>
    <col min="17" max="17" width="12.57421875" style="0" hidden="1" customWidth="1" outlineLevel="1"/>
    <col min="18" max="18" width="10.00390625" style="0" hidden="1" customWidth="1" outlineLevel="1"/>
    <col min="19" max="23" width="9.140625" style="0" hidden="1" customWidth="1" outlineLevel="1"/>
    <col min="24" max="26" width="8.140625" style="0" hidden="1" customWidth="1" outlineLevel="1"/>
    <col min="27" max="27" width="10.57421875" style="0" hidden="1" customWidth="1" outlineLevel="1"/>
    <col min="28" max="28" width="9.140625" style="0" hidden="1" customWidth="1" outlineLevel="1"/>
    <col min="29" max="29" width="9.140625" style="0" customWidth="1" collapsed="1"/>
    <col min="30" max="32" width="9.140625" style="0" customWidth="1" outlineLevel="1"/>
  </cols>
  <sheetData>
    <row r="1" ht="12.75" hidden="1" outlineLevel="1"/>
    <row r="2" ht="12.75" hidden="1" outlineLevel="1"/>
    <row r="3" ht="12.75" hidden="1" outlineLevel="1"/>
    <row r="4" ht="12.75" hidden="1" outlineLevel="1"/>
    <row r="5" ht="12.75" hidden="1" outlineLevel="1"/>
    <row r="6" ht="12.75" hidden="1" outlineLevel="1"/>
    <row r="7" ht="12.75" hidden="1" outlineLevel="1"/>
    <row r="8" ht="12.75" hidden="1" outlineLevel="1"/>
    <row r="9" ht="12.75" hidden="1" outlineLevel="1"/>
    <row r="10" ht="12.75" hidden="1" outlineLevel="1"/>
    <row r="11" ht="12.75" hidden="1" outlineLevel="1"/>
    <row r="12" ht="12.75" hidden="1" outlineLevel="1"/>
    <row r="13" ht="12.75" hidden="1" outlineLevel="1"/>
    <row r="14" ht="12.75" hidden="1" outlineLevel="1"/>
    <row r="15" ht="12.75" hidden="1" outlineLevel="1"/>
    <row r="16" ht="12.75" hidden="1" outlineLevel="1"/>
    <row r="17" ht="12.75" hidden="1" outlineLevel="1"/>
    <row r="18" ht="12.75" hidden="1" outlineLevel="1"/>
    <row r="19" ht="12.75" hidden="1" outlineLevel="1"/>
    <row r="20" ht="12.75" hidden="1" outlineLevel="1"/>
    <row r="21" ht="23.25" collapsed="1">
      <c r="K21" s="41" t="s">
        <v>108</v>
      </c>
    </row>
    <row r="22" ht="14.25" customHeight="1"/>
    <row r="23" spans="11:14" ht="18.75" customHeight="1">
      <c r="K23" s="61" t="s">
        <v>106</v>
      </c>
      <c r="L23" s="62"/>
      <c r="M23" s="62"/>
      <c r="N23" s="62"/>
    </row>
    <row r="24" spans="11:15" ht="18">
      <c r="K24" s="62"/>
      <c r="L24" s="62"/>
      <c r="M24" s="62"/>
      <c r="N24" s="62"/>
      <c r="O24" s="38">
        <v>2017</v>
      </c>
    </row>
    <row r="25" spans="14:15" ht="18">
      <c r="N25" s="57" t="s">
        <v>88</v>
      </c>
      <c r="O25" s="58" t="s">
        <v>103</v>
      </c>
    </row>
    <row r="27" spans="11:14" ht="12.75">
      <c r="K27" t="s">
        <v>107</v>
      </c>
      <c r="N27" s="56"/>
    </row>
    <row r="29" ht="12.75">
      <c r="K29" t="s">
        <v>80</v>
      </c>
    </row>
    <row r="30" ht="12.75">
      <c r="K30" s="55" t="s">
        <v>81</v>
      </c>
    </row>
    <row r="31" ht="12.75" customHeight="1"/>
    <row r="32" ht="12.75" customHeight="1">
      <c r="K32" t="s">
        <v>82</v>
      </c>
    </row>
    <row r="33" ht="12.75">
      <c r="K33" t="s">
        <v>65</v>
      </c>
    </row>
    <row r="34" ht="13.5" thickBot="1">
      <c r="K34" t="s">
        <v>64</v>
      </c>
    </row>
    <row r="35" spans="13:14" ht="16.5" thickBot="1">
      <c r="M35" s="1" t="s">
        <v>0</v>
      </c>
      <c r="N35" s="2"/>
    </row>
    <row r="36" spans="13:16" ht="13.5" thickBot="1">
      <c r="M36" s="63" t="str">
        <f>"Kurser i skoleåret "&amp;O24-2&amp;" / "&amp;O24-1&amp;"."</f>
        <v>Kurser i skoleåret 2015 / 2016.</v>
      </c>
      <c r="N36" s="63"/>
      <c r="O36" s="63"/>
      <c r="P36" s="60">
        <f>+O24-1</f>
        <v>2016</v>
      </c>
    </row>
    <row r="37" spans="11:16" ht="15.75">
      <c r="K37" s="3" t="s">
        <v>1</v>
      </c>
      <c r="M37" t="s">
        <v>2</v>
      </c>
      <c r="N37" t="s">
        <v>3</v>
      </c>
      <c r="O37" s="33" t="s">
        <v>4</v>
      </c>
      <c r="P37" s="35" t="s">
        <v>71</v>
      </c>
    </row>
    <row r="38" spans="13:16" ht="13.5" thickBot="1">
      <c r="M38" s="4" t="s">
        <v>5</v>
      </c>
      <c r="N38" t="s">
        <v>6</v>
      </c>
      <c r="O38" s="5" t="s">
        <v>7</v>
      </c>
      <c r="P38" s="34" t="str">
        <f>O24-3&amp;" / "&amp;O24-2</f>
        <v>2014 / 2015</v>
      </c>
    </row>
    <row r="39" spans="11:16" ht="12.75">
      <c r="K39" s="28" t="s">
        <v>8</v>
      </c>
      <c r="L39" s="7" t="s">
        <v>104</v>
      </c>
      <c r="M39" s="52">
        <v>0</v>
      </c>
      <c r="N39" s="52">
        <v>0</v>
      </c>
      <c r="O39" s="36">
        <f>+M39-N39</f>
        <v>0</v>
      </c>
      <c r="P39" s="47">
        <v>0</v>
      </c>
    </row>
    <row r="40" spans="11:16" ht="12.75">
      <c r="K40" s="28" t="s">
        <v>9</v>
      </c>
      <c r="L40" s="7" t="s">
        <v>105</v>
      </c>
      <c r="M40" s="52">
        <v>0</v>
      </c>
      <c r="N40" s="52">
        <v>0</v>
      </c>
      <c r="O40" s="36">
        <f>+M40-N40</f>
        <v>0</v>
      </c>
      <c r="P40" s="48">
        <v>0</v>
      </c>
    </row>
    <row r="41" spans="11:16" ht="12.75">
      <c r="K41" s="28" t="s">
        <v>11</v>
      </c>
      <c r="L41" s="7" t="s">
        <v>12</v>
      </c>
      <c r="M41" s="52">
        <v>0</v>
      </c>
      <c r="N41" s="52">
        <v>0</v>
      </c>
      <c r="O41" s="36">
        <f>+M41-N41</f>
        <v>0</v>
      </c>
      <c r="P41" s="48">
        <v>0</v>
      </c>
    </row>
    <row r="42" spans="11:16" ht="12.75">
      <c r="K42" s="28" t="s">
        <v>78</v>
      </c>
      <c r="L42" s="7" t="s">
        <v>77</v>
      </c>
      <c r="M42" s="54"/>
      <c r="N42" s="54"/>
      <c r="O42" s="36">
        <f>+M42-N42</f>
        <v>0</v>
      </c>
      <c r="P42" s="48"/>
    </row>
    <row r="43" spans="11:16" ht="12.75" hidden="1" outlineLevel="1">
      <c r="K43" s="28"/>
      <c r="L43" s="7"/>
      <c r="O43" s="36">
        <f>+O39</f>
        <v>0</v>
      </c>
      <c r="P43" s="37"/>
    </row>
    <row r="44" spans="11:16" ht="12.75" hidden="1" outlineLevel="1">
      <c r="K44" s="28" t="s">
        <v>74</v>
      </c>
      <c r="L44" s="7" t="s">
        <v>15</v>
      </c>
      <c r="M44" s="52">
        <v>0</v>
      </c>
      <c r="N44" s="52">
        <v>0</v>
      </c>
      <c r="O44" s="36">
        <f>+M44-N44</f>
        <v>0</v>
      </c>
      <c r="P44" s="37"/>
    </row>
    <row r="45" spans="11:16" ht="12.75" hidden="1" outlineLevel="1">
      <c r="K45" s="28" t="s">
        <v>73</v>
      </c>
      <c r="L45" s="7" t="s">
        <v>17</v>
      </c>
      <c r="M45" s="52">
        <v>0</v>
      </c>
      <c r="N45" s="52">
        <v>0</v>
      </c>
      <c r="O45" s="36">
        <f>+M45-N45</f>
        <v>0</v>
      </c>
      <c r="P45" s="37"/>
    </row>
    <row r="46" spans="11:16" ht="12.75" hidden="1" outlineLevel="1">
      <c r="K46" s="28" t="s">
        <v>18</v>
      </c>
      <c r="L46" s="7" t="str">
        <f>+L40</f>
        <v>ÅE på kurser på min. 2 uger og mas 11</v>
      </c>
      <c r="O46" s="36">
        <f>+O40</f>
        <v>0</v>
      </c>
      <c r="P46" s="37"/>
    </row>
    <row r="47" spans="11:16" ht="12.75" hidden="1" outlineLevel="1">
      <c r="K47" s="28"/>
      <c r="L47" s="7"/>
      <c r="M47" s="52">
        <v>0</v>
      </c>
      <c r="N47" s="52">
        <v>0</v>
      </c>
      <c r="O47" s="36">
        <f>+M47-N47</f>
        <v>0</v>
      </c>
      <c r="P47" s="48">
        <v>0</v>
      </c>
    </row>
    <row r="48" spans="11:16" ht="12.75" collapsed="1">
      <c r="K48" s="28" t="s">
        <v>75</v>
      </c>
      <c r="L48" s="7" t="s">
        <v>85</v>
      </c>
      <c r="M48" s="52">
        <v>0</v>
      </c>
      <c r="N48" s="52">
        <v>0</v>
      </c>
      <c r="O48" s="36">
        <f>+M48-N48</f>
        <v>0</v>
      </c>
      <c r="P48" s="48">
        <v>0</v>
      </c>
    </row>
    <row r="49" spans="11:16" ht="12.75">
      <c r="K49" s="28" t="s">
        <v>75</v>
      </c>
      <c r="L49" s="7" t="s">
        <v>86</v>
      </c>
      <c r="M49" s="52">
        <v>0</v>
      </c>
      <c r="N49" s="52">
        <v>0</v>
      </c>
      <c r="O49" s="36">
        <f>+M49-N49</f>
        <v>0</v>
      </c>
      <c r="P49" s="48">
        <v>0</v>
      </c>
    </row>
    <row r="50" spans="11:16" ht="12.75">
      <c r="K50" s="28" t="s">
        <v>20</v>
      </c>
      <c r="L50" s="7" t="s">
        <v>21</v>
      </c>
      <c r="M50" s="52">
        <v>0</v>
      </c>
      <c r="N50" s="52">
        <v>0</v>
      </c>
      <c r="O50" s="36">
        <f>+M50-N50</f>
        <v>0</v>
      </c>
      <c r="P50" s="37"/>
    </row>
    <row r="51" spans="11:16" ht="13.5" thickBot="1">
      <c r="K51" s="28" t="s">
        <v>22</v>
      </c>
      <c r="L51" s="7" t="s">
        <v>23</v>
      </c>
      <c r="M51" s="52">
        <v>0</v>
      </c>
      <c r="N51" s="52">
        <v>0</v>
      </c>
      <c r="O51" s="36">
        <f>+M51-N51</f>
        <v>0</v>
      </c>
      <c r="P51" s="37"/>
    </row>
    <row r="52" spans="11:16" ht="12" customHeight="1" hidden="1" outlineLevel="1" thickBot="1">
      <c r="K52" s="27"/>
      <c r="P52" s="59" t="s">
        <v>68</v>
      </c>
    </row>
    <row r="53" spans="11:16" ht="12.75" collapsed="1">
      <c r="K53" s="7" t="s">
        <v>24</v>
      </c>
      <c r="L53" s="7"/>
      <c r="M53" s="8">
        <v>0</v>
      </c>
      <c r="O53" s="42" t="str">
        <f>+K39</f>
        <v>Takst 1</v>
      </c>
      <c r="P53" s="45">
        <f>IF(P36=2006,(O39-P39)*0.75*N103,IF(P36=2007,(O39-P39)*1*N103,(O39-P39)*N103))</f>
        <v>0</v>
      </c>
    </row>
    <row r="54" spans="12:16" ht="12.75">
      <c r="L54" s="9" t="s">
        <v>25</v>
      </c>
      <c r="M54" s="10">
        <f>+O118</f>
        <v>2600000</v>
      </c>
      <c r="O54" s="43" t="str">
        <f>+K40</f>
        <v>Takst 2</v>
      </c>
      <c r="P54" s="45">
        <f>IF(P36=2006,(O40-P40)*0.75*N104,IF(P36=2007,(O40-P40)*1*N104,(O40-P40)*N104))</f>
        <v>0</v>
      </c>
    </row>
    <row r="55" spans="13:16" ht="12.75">
      <c r="M55" s="10"/>
      <c r="O55" s="43" t="str">
        <f>+K41</f>
        <v>Takst 3</v>
      </c>
      <c r="P55" s="45">
        <f>+(O41-P41)*N106</f>
        <v>0</v>
      </c>
    </row>
    <row r="56" spans="15:16" ht="12.75">
      <c r="O56" s="49" t="str">
        <f>+K49</f>
        <v>Tillægstakst: Unge u/komp</v>
      </c>
      <c r="P56" s="50">
        <f>+(O49-P49)*N114</f>
        <v>0</v>
      </c>
    </row>
    <row r="57" spans="15:16" ht="18.75" thickBot="1">
      <c r="O57" s="51" t="s">
        <v>72</v>
      </c>
      <c r="P57" s="46">
        <f>SUM(P53:P56)</f>
        <v>0</v>
      </c>
    </row>
    <row r="60" spans="13:18" ht="12.75">
      <c r="M60" t="s">
        <v>46</v>
      </c>
      <c r="N60" s="4" t="s">
        <v>47</v>
      </c>
      <c r="Q60" s="4"/>
      <c r="R60" s="4"/>
    </row>
    <row r="61" spans="11:13" ht="12.75">
      <c r="K61" s="4" t="s">
        <v>48</v>
      </c>
      <c r="L61" t="s">
        <v>49</v>
      </c>
      <c r="M61" s="10">
        <f>HLOOKUP($O$24,$N$99:$P$129,3,FALSE)</f>
        <v>698564</v>
      </c>
    </row>
    <row r="62" spans="11:13" ht="12.75">
      <c r="K62" t="s">
        <v>50</v>
      </c>
      <c r="L62" s="10">
        <f>+M53</f>
        <v>0</v>
      </c>
      <c r="M62" s="10"/>
    </row>
    <row r="63" spans="11:14" ht="12.75">
      <c r="K63" s="53">
        <f>IF(+M53-HLOOKUP($O$24,$N$99:$P$129,20,FALSE)&lt;0,0,M53-HLOOKUP($O$24,$N$99:$P$129,20,FALSE))</f>
        <v>0</v>
      </c>
      <c r="L63" t="s">
        <v>51</v>
      </c>
      <c r="M63" s="10">
        <f>IF(HLOOKUP($O$24,$N$99:$P$129,21,FALSE)*K63&gt;=M61,M61,HLOOKUP($O$24,$N$99:$P$129,21,FALSE)*K63)</f>
        <v>0</v>
      </c>
      <c r="N63" s="10">
        <f>+M61-M63</f>
        <v>698564</v>
      </c>
    </row>
    <row r="65" spans="11:13" ht="12.75">
      <c r="K65" s="4" t="s">
        <v>52</v>
      </c>
      <c r="L65" t="s">
        <v>53</v>
      </c>
      <c r="M65" s="10">
        <f>HLOOKUP($O$24,$N$99:$P$129,5,FALSE)*O39</f>
        <v>0</v>
      </c>
    </row>
    <row r="66" spans="12:13" ht="12.75">
      <c r="L66" t="s">
        <v>54</v>
      </c>
      <c r="M66" s="10">
        <f>HLOOKUP($O$24,$N$99:$P$129,6,FALSE)*O40</f>
        <v>0</v>
      </c>
    </row>
    <row r="67" spans="12:13" ht="12.75">
      <c r="L67" t="s">
        <v>55</v>
      </c>
      <c r="M67" s="10">
        <f>HLOOKUP($O$24,$N$99:$P$129,8,FALSE)*O41</f>
        <v>0</v>
      </c>
    </row>
    <row r="68" spans="11:14" ht="12.75" customHeight="1">
      <c r="K68" t="s">
        <v>79</v>
      </c>
      <c r="L68" t="s">
        <v>78</v>
      </c>
      <c r="M68" s="10">
        <f>HLOOKUP($O$24,$N$99:$P$129,7,FALSE)*O42</f>
        <v>0</v>
      </c>
      <c r="N68" s="10">
        <f>SUM(M65:M68)</f>
        <v>0</v>
      </c>
    </row>
    <row r="70" spans="11:14" ht="12.75" customHeight="1">
      <c r="K70" s="4" t="s">
        <v>56</v>
      </c>
      <c r="M70" s="10"/>
      <c r="N70" s="10"/>
    </row>
    <row r="71" spans="12:14" ht="12.75">
      <c r="L71" t="s">
        <v>57</v>
      </c>
      <c r="M71" s="10">
        <f>HLOOKUP($O$24,$N$99:$P$129,10,FALSE)*O43</f>
        <v>0</v>
      </c>
      <c r="N71" s="10"/>
    </row>
    <row r="72" spans="12:14" ht="12.75">
      <c r="L72" t="s">
        <v>34</v>
      </c>
      <c r="M72" s="10">
        <f>+HLOOKUP($O$24,$N$99:$P$129,9,FALSE)</f>
        <v>0</v>
      </c>
      <c r="N72" s="10">
        <f>SUM(M71:M72)</f>
        <v>0</v>
      </c>
    </row>
    <row r="74" spans="11:14" ht="12.75" customHeight="1">
      <c r="K74" s="4" t="s">
        <v>58</v>
      </c>
      <c r="N74" s="10">
        <f>HLOOKUP($O$24,$N$99:$P$129,11,FALSE)*O44</f>
        <v>0</v>
      </c>
    </row>
    <row r="76" spans="11:14" ht="12.75" customHeight="1">
      <c r="K76" s="4" t="s">
        <v>59</v>
      </c>
      <c r="N76" s="10">
        <f>HLOOKUP($O$24,$N$99:$P$129,12,FALSE)*O45</f>
        <v>0</v>
      </c>
    </row>
    <row r="77" ht="12.75" customHeight="1"/>
    <row r="78" spans="11:14" ht="12.75" customHeight="1" outlineLevel="1">
      <c r="K78" s="4" t="s">
        <v>60</v>
      </c>
      <c r="N78" s="10">
        <f>HLOOKUP($O$24,$N$99:$P$129,13,FALSE)*O46</f>
        <v>0</v>
      </c>
    </row>
    <row r="79" ht="12.75" customHeight="1" outlineLevel="1"/>
    <row r="80" spans="11:14" ht="12.75" customHeight="1" outlineLevel="1">
      <c r="K80" s="4" t="s">
        <v>61</v>
      </c>
      <c r="N80" s="10">
        <f>HLOOKUP($O$24,$N$99:$P$129,14,FALSE)*O47</f>
        <v>0</v>
      </c>
    </row>
    <row r="81" ht="12.75" customHeight="1" outlineLevel="1"/>
    <row r="82" ht="12.75" customHeight="1">
      <c r="K82" s="4" t="s">
        <v>62</v>
      </c>
    </row>
    <row r="83" spans="11:14" ht="12.75" customHeight="1">
      <c r="K83" s="5" t="s">
        <v>87</v>
      </c>
      <c r="L83" s="4" t="str">
        <f>+L113</f>
        <v>Unge u/komp m/U-plan</v>
      </c>
      <c r="N83" s="10">
        <f>HLOOKUP($O$24,$N$99:$P$129,15,FALSE)*O48</f>
        <v>0</v>
      </c>
    </row>
    <row r="84" spans="12:14" ht="12.75" customHeight="1">
      <c r="L84" s="4" t="str">
        <f>+L114</f>
        <v>Unge u/komp u/U-plan</v>
      </c>
      <c r="N84" s="10">
        <f>HLOOKUP($O$24,$N$99:$P$129,16,FALSE)*O49</f>
        <v>0</v>
      </c>
    </row>
    <row r="85" ht="12.75" customHeight="1"/>
    <row r="86" ht="12.75" customHeight="1">
      <c r="K86" s="4" t="s">
        <v>63</v>
      </c>
    </row>
    <row r="87" spans="12:14" ht="12.75" customHeight="1">
      <c r="L87" t="s">
        <v>20</v>
      </c>
      <c r="N87" s="10">
        <f>HLOOKUP($O$24,$N$99:$P$129,16,FALSE)*O50</f>
        <v>0</v>
      </c>
    </row>
    <row r="88" spans="12:14" ht="12.75" customHeight="1">
      <c r="L88" t="s">
        <v>22</v>
      </c>
      <c r="N88" s="10">
        <f>HLOOKUP($O$24,$N$99:$P$129,17,FALSE)*O51</f>
        <v>0</v>
      </c>
    </row>
    <row r="89" ht="12.75" customHeight="1"/>
    <row r="90" spans="11:14" ht="12.75" customHeight="1" thickBot="1">
      <c r="K90" s="26" t="str">
        <f>"Statstilskud i alt i finansåret "&amp;O24</f>
        <v>Statstilskud i alt i finansåret 2017</v>
      </c>
      <c r="N90" s="29">
        <f>SUM(N61:N89)</f>
        <v>698564</v>
      </c>
    </row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spans="11:27" ht="12.75" customHeight="1">
      <c r="K97" s="11" t="s">
        <v>66</v>
      </c>
      <c r="Q97" s="12"/>
      <c r="R97" s="12"/>
      <c r="S97" s="12"/>
      <c r="U97" s="12"/>
      <c r="V97" s="12"/>
      <c r="W97" s="12"/>
      <c r="AA97" s="13"/>
    </row>
    <row r="98" spans="14:28" ht="12.75" customHeight="1">
      <c r="N98" s="10"/>
      <c r="O98" s="6" t="s">
        <v>26</v>
      </c>
      <c r="P98" s="10"/>
      <c r="Q98" s="12" t="s">
        <v>89</v>
      </c>
      <c r="R98" s="12" t="s">
        <v>90</v>
      </c>
      <c r="S98" s="12" t="s">
        <v>91</v>
      </c>
      <c r="T98" s="12" t="s">
        <v>92</v>
      </c>
      <c r="U98" s="12" t="s">
        <v>93</v>
      </c>
      <c r="V98" s="12" t="s">
        <v>94</v>
      </c>
      <c r="W98" s="12" t="s">
        <v>95</v>
      </c>
      <c r="X98" s="12" t="s">
        <v>96</v>
      </c>
      <c r="Y98" s="12" t="s">
        <v>97</v>
      </c>
      <c r="Z98" s="12" t="s">
        <v>98</v>
      </c>
      <c r="AA98" s="12" t="s">
        <v>99</v>
      </c>
      <c r="AB98" s="12" t="s">
        <v>100</v>
      </c>
    </row>
    <row r="99" spans="11:28" ht="12.75" customHeight="1">
      <c r="K99" s="31" t="s">
        <v>27</v>
      </c>
      <c r="L99" s="14"/>
      <c r="M99" s="14"/>
      <c r="N99">
        <f>+O99-1</f>
        <v>2016</v>
      </c>
      <c r="O99" s="44">
        <f>+O24</f>
        <v>2017</v>
      </c>
      <c r="P99" s="15">
        <f>+O99+1</f>
        <v>2018</v>
      </c>
      <c r="Q99" s="16">
        <v>2015</v>
      </c>
      <c r="R99" s="16">
        <v>2016</v>
      </c>
      <c r="S99" s="16">
        <v>2017</v>
      </c>
      <c r="T99" s="16">
        <v>2018</v>
      </c>
      <c r="U99" s="16">
        <v>2019</v>
      </c>
      <c r="V99" s="16">
        <v>2020</v>
      </c>
      <c r="W99" s="16">
        <v>2021</v>
      </c>
      <c r="X99" s="16">
        <v>2022</v>
      </c>
      <c r="Y99" s="16">
        <v>2023</v>
      </c>
      <c r="Z99" s="16">
        <v>2024</v>
      </c>
      <c r="AA99" s="16">
        <v>2025</v>
      </c>
      <c r="AB99" s="16">
        <v>2026</v>
      </c>
    </row>
    <row r="100" spans="11:28" ht="12.75" customHeight="1">
      <c r="K100" s="31" t="s">
        <v>28</v>
      </c>
      <c r="L100" s="14"/>
      <c r="M100" s="14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1:28" ht="12.75" customHeight="1">
      <c r="K101" s="18" t="s">
        <v>29</v>
      </c>
      <c r="L101" s="14"/>
      <c r="M101" s="14" t="s">
        <v>30</v>
      </c>
      <c r="N101" s="10">
        <f>HLOOKUP($N$99,$Q$99:$AB$120,3,FALSE)</f>
        <v>695017</v>
      </c>
      <c r="O101" s="10">
        <f>HLOOKUP($O$99,$Q$99:$AB$120,3,FALSE)</f>
        <v>698564</v>
      </c>
      <c r="P101" s="10">
        <f>HLOOKUP($P$99,$Q$99:$AB$120,3,FALSE)</f>
        <v>0</v>
      </c>
      <c r="Q101" s="17">
        <f>696940+IF($O$25="JA",Q107,0)</f>
        <v>696940</v>
      </c>
      <c r="R101" s="17">
        <f>695017+IF($O$25="JA",R107,0)</f>
        <v>695017</v>
      </c>
      <c r="S101" s="17">
        <v>698564</v>
      </c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1:28" ht="12.75" customHeight="1">
      <c r="K102" s="31" t="s">
        <v>69</v>
      </c>
      <c r="L102" s="14"/>
      <c r="M102" s="14"/>
      <c r="N102" s="40" t="s">
        <v>70</v>
      </c>
      <c r="O102" s="39"/>
      <c r="P102" s="39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0:28" ht="12.75" customHeight="1">
      <c r="J103" s="24" t="s">
        <v>31</v>
      </c>
      <c r="K103" s="18" t="s">
        <v>104</v>
      </c>
      <c r="L103" s="14" t="s">
        <v>8</v>
      </c>
      <c r="M103" s="14" t="s">
        <v>32</v>
      </c>
      <c r="N103" s="10">
        <f>HLOOKUP($N$99,$Q$99:$AB$120,5,FALSE)</f>
        <v>40192</v>
      </c>
      <c r="O103" s="10">
        <f>HLOOKUP($O$99,$Q$99:$AB$120,5,FALSE)</f>
        <v>39579</v>
      </c>
      <c r="P103" s="10">
        <f>HLOOKUP($P$99,$Q$99:$AB$120,5,FALSE)</f>
        <v>0</v>
      </c>
      <c r="Q103" s="17">
        <v>40586</v>
      </c>
      <c r="R103" s="17">
        <v>40192</v>
      </c>
      <c r="S103" s="17">
        <v>39579</v>
      </c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0:28" ht="12.75" customHeight="1">
      <c r="J104" s="24" t="s">
        <v>33</v>
      </c>
      <c r="K104" s="18" t="s">
        <v>105</v>
      </c>
      <c r="L104" s="14" t="s">
        <v>9</v>
      </c>
      <c r="M104" s="14" t="s">
        <v>32</v>
      </c>
      <c r="N104" s="10">
        <f>HLOOKUP($N$99,$Q$99:$AB$120,6,FALSE)</f>
        <v>62209</v>
      </c>
      <c r="O104" s="10">
        <f>HLOOKUP($O$99,$Q$99:$AB$120,6,FALSE)</f>
        <v>61298</v>
      </c>
      <c r="P104" s="10">
        <f>HLOOKUP($P$99,$Q$99:$AB$120,6,FALSE)</f>
        <v>0</v>
      </c>
      <c r="Q104" s="17">
        <v>62724</v>
      </c>
      <c r="R104" s="17">
        <v>62209</v>
      </c>
      <c r="S104" s="17">
        <v>61298</v>
      </c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0:28" ht="12.75" customHeight="1">
      <c r="J105" s="24" t="s">
        <v>76</v>
      </c>
      <c r="K105" s="18"/>
      <c r="L105" s="14"/>
      <c r="M105" s="14"/>
      <c r="N105" s="10">
        <f>HLOOKUP($N$99,$Q$99:$AB$120,7,FALSE)</f>
        <v>0</v>
      </c>
      <c r="O105" s="10">
        <f>HLOOKUP($O$99,$Q$99:$AB$120,7,FALSE)</f>
        <v>0</v>
      </c>
      <c r="P105" s="10">
        <f>HLOOKUP($P$99,$Q$99:$AB$120,7,FALSE)</f>
        <v>0</v>
      </c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0:28" ht="12.75" customHeight="1">
      <c r="J106" s="24">
        <v>2</v>
      </c>
      <c r="K106" s="18" t="s">
        <v>12</v>
      </c>
      <c r="L106" s="14" t="s">
        <v>11</v>
      </c>
      <c r="M106" s="14" t="s">
        <v>32</v>
      </c>
      <c r="N106" s="10">
        <f>HLOOKUP($N$99,$Q$99:$AB$120,8,FALSE)</f>
        <v>106034</v>
      </c>
      <c r="O106" s="10">
        <f>HLOOKUP($O$99,$Q$99:$AB$120,8,FALSE)</f>
        <v>104555</v>
      </c>
      <c r="P106" s="10">
        <f>HLOOKUP($P$99,$Q$99:$AB$120,8,FALSE)</f>
        <v>0</v>
      </c>
      <c r="Q106" s="17">
        <v>106792</v>
      </c>
      <c r="R106" s="17">
        <v>106034</v>
      </c>
      <c r="S106" s="17">
        <v>104555</v>
      </c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1:28" ht="12.75" customHeight="1">
      <c r="K107" s="18" t="s">
        <v>101</v>
      </c>
      <c r="L107" s="14" t="s">
        <v>102</v>
      </c>
      <c r="M107" s="14" t="s">
        <v>30</v>
      </c>
      <c r="N107" s="10">
        <v>0</v>
      </c>
      <c r="O107" s="10">
        <v>0</v>
      </c>
      <c r="P107" s="10">
        <v>0</v>
      </c>
      <c r="Q107" s="17">
        <v>300000</v>
      </c>
      <c r="R107" s="17">
        <v>300000</v>
      </c>
      <c r="S107" s="17">
        <v>704522</v>
      </c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0:28" ht="12.75" customHeight="1">
      <c r="J108" s="24" t="s">
        <v>35</v>
      </c>
      <c r="K108" s="18" t="s">
        <v>13</v>
      </c>
      <c r="L108" s="14" t="s">
        <v>36</v>
      </c>
      <c r="M108" s="14" t="s">
        <v>32</v>
      </c>
      <c r="N108" s="10">
        <f>HLOOKUP($N$99,$Q$99:$AB$120,10,FALSE)</f>
        <v>0</v>
      </c>
      <c r="O108" s="10">
        <f>HLOOKUP($O$99,$Q$99:$AB$120,10,FALSE)</f>
        <v>0</v>
      </c>
      <c r="P108" s="10">
        <f>HLOOKUP($P$99,$Q$99:$AB$120,10,FALSE)</f>
        <v>0</v>
      </c>
      <c r="Q108" s="17">
        <v>0</v>
      </c>
      <c r="R108" s="17">
        <v>0</v>
      </c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0:28" ht="12.75" customHeight="1">
      <c r="J109" s="24">
        <v>4</v>
      </c>
      <c r="K109" s="18" t="s">
        <v>15</v>
      </c>
      <c r="L109" s="14" t="s">
        <v>14</v>
      </c>
      <c r="M109" s="14" t="s">
        <v>32</v>
      </c>
      <c r="N109" s="10">
        <f>HLOOKUP($N$99,$Q$99:$AB$120,11,FALSE)</f>
        <v>0</v>
      </c>
      <c r="O109" s="10">
        <f>HLOOKUP($O$99,$Q$99:$AB$120,11,FALSE)</f>
        <v>0</v>
      </c>
      <c r="P109" s="10">
        <f>HLOOKUP($P$99,$Q$99:$AB$120,11,FALSE)</f>
        <v>0</v>
      </c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0:28" ht="12.75" customHeight="1">
      <c r="J110" s="24">
        <v>5</v>
      </c>
      <c r="K110" s="18" t="s">
        <v>17</v>
      </c>
      <c r="L110" s="14" t="s">
        <v>16</v>
      </c>
      <c r="M110" s="14" t="s">
        <v>32</v>
      </c>
      <c r="N110" s="10">
        <f>HLOOKUP($N$99,$Q$99:$AB$120,12,FALSE)</f>
        <v>21805</v>
      </c>
      <c r="O110" s="10">
        <f>HLOOKUP($O$99,$Q$99:$AB$120,12,FALSE)</f>
        <v>21581</v>
      </c>
      <c r="P110" s="10">
        <f>HLOOKUP($P$99,$Q$99:$AB$120,12,FALSE)</f>
        <v>0</v>
      </c>
      <c r="Q110" s="17">
        <v>21865</v>
      </c>
      <c r="R110" s="17">
        <v>21805</v>
      </c>
      <c r="S110" s="17">
        <v>21581</v>
      </c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0:28" ht="12.75" customHeight="1" outlineLevel="1">
      <c r="J111" s="24">
        <v>6</v>
      </c>
      <c r="K111" s="18" t="s">
        <v>10</v>
      </c>
      <c r="L111" s="14" t="s">
        <v>18</v>
      </c>
      <c r="M111" s="14" t="s">
        <v>32</v>
      </c>
      <c r="N111" s="10">
        <f>HLOOKUP($N$99,$Q$99:$AB$120,13,FALSE)</f>
        <v>0</v>
      </c>
      <c r="O111" s="10">
        <f>HLOOKUP($O$99,$Q$99:$AB$120,13,FALSE)</f>
        <v>0</v>
      </c>
      <c r="P111" s="10">
        <f>HLOOKUP($P$99,$Q$99:$AB$120,13,FALSE)</f>
        <v>0</v>
      </c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1:28" ht="12.75" customHeight="1" outlineLevel="1">
      <c r="K112" s="18"/>
      <c r="L112" s="14"/>
      <c r="M112" s="14" t="s">
        <v>32</v>
      </c>
      <c r="N112" s="10">
        <f>HLOOKUP($N$99,$Q$99:$AB$120,14,FALSE)</f>
        <v>0</v>
      </c>
      <c r="O112" s="10">
        <f>HLOOKUP($O$99,$Q$99:$AB$120,14,FALSE)</f>
        <v>0</v>
      </c>
      <c r="P112" s="10">
        <f>HLOOKUP($P$99,$Q$99:$AB$120,14,FALSE)</f>
        <v>0</v>
      </c>
      <c r="Q112" s="19"/>
      <c r="R112" s="19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1:28" ht="12.75" customHeight="1">
      <c r="K113" s="18" t="s">
        <v>19</v>
      </c>
      <c r="L113" s="20" t="s">
        <v>83</v>
      </c>
      <c r="M113" s="20" t="s">
        <v>32</v>
      </c>
      <c r="N113" s="10">
        <f>HLOOKUP($N$99,$Q$99:$AB$120,15,FALSE)</f>
        <v>42933</v>
      </c>
      <c r="O113" s="10">
        <f>HLOOKUP($O$99,$Q$99:$AB$120,15,FALSE)</f>
        <v>42372</v>
      </c>
      <c r="P113" s="10">
        <f>HLOOKUP($P$99,$Q$99:$AB$120,15,FALSE)</f>
        <v>0</v>
      </c>
      <c r="Q113" s="19">
        <v>43186</v>
      </c>
      <c r="R113" s="19">
        <v>42933</v>
      </c>
      <c r="S113" s="17">
        <v>42372</v>
      </c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1:28" ht="12.75" customHeight="1">
      <c r="K114" s="18" t="s">
        <v>19</v>
      </c>
      <c r="L114" s="20" t="s">
        <v>84</v>
      </c>
      <c r="M114" s="20" t="s">
        <v>32</v>
      </c>
      <c r="N114" s="10">
        <f>HLOOKUP($N$99,$Q$99:$AB$120,16,FALSE)</f>
        <v>16370</v>
      </c>
      <c r="O114" s="10">
        <f>HLOOKUP($O$99,$Q$99:$AB$120,16,FALSE)</f>
        <v>16156</v>
      </c>
      <c r="P114" s="10">
        <f>HLOOKUP($P$99,$Q$99:$AB$120,16,FALSE)</f>
        <v>0</v>
      </c>
      <c r="Q114" s="19">
        <v>16466</v>
      </c>
      <c r="R114" s="19">
        <v>16370</v>
      </c>
      <c r="S114" s="17">
        <v>16156</v>
      </c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0:28" ht="12.75" customHeight="1">
      <c r="J115" s="24">
        <v>7</v>
      </c>
      <c r="K115" s="18" t="s">
        <v>37</v>
      </c>
      <c r="L115" s="20" t="s">
        <v>20</v>
      </c>
      <c r="M115" s="20" t="s">
        <v>32</v>
      </c>
      <c r="N115" s="10">
        <f>HLOOKUP($N$99,$Q$99:$AB$120,17,FALSE)</f>
        <v>15656</v>
      </c>
      <c r="O115" s="10">
        <f>HLOOKUP($O$99,$Q$99:$AB$120,17,FALSE)</f>
        <v>15398</v>
      </c>
      <c r="P115" s="10">
        <f>HLOOKUP($P$99,$Q$99:$AB$120,17,FALSE)</f>
        <v>0</v>
      </c>
      <c r="Q115" s="17">
        <v>15608</v>
      </c>
      <c r="R115" s="17">
        <v>15656</v>
      </c>
      <c r="S115" s="17">
        <v>15398</v>
      </c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0:28" ht="12.75" customHeight="1">
      <c r="J116" s="24">
        <v>8</v>
      </c>
      <c r="K116" s="18" t="s">
        <v>37</v>
      </c>
      <c r="L116" s="20" t="s">
        <v>22</v>
      </c>
      <c r="M116" s="20" t="s">
        <v>32</v>
      </c>
      <c r="N116" s="10">
        <f>HLOOKUP($N$99,$Q$99:$AB$120,18,FALSE)</f>
        <v>11045</v>
      </c>
      <c r="O116" s="10">
        <f>HLOOKUP($O$99,$Q$99:$AB$120,18,FALSE)</f>
        <v>10926</v>
      </c>
      <c r="P116" s="10">
        <f>HLOOKUP($P$99,$Q$99:$AB$120,18,FALSE)</f>
        <v>0</v>
      </c>
      <c r="Q116" s="17">
        <v>11075</v>
      </c>
      <c r="R116" s="17">
        <v>11045</v>
      </c>
      <c r="S116" s="17">
        <v>10926</v>
      </c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7:28" ht="12.75" customHeight="1"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1:28" ht="12.75" customHeight="1">
      <c r="K118" s="20" t="s">
        <v>38</v>
      </c>
      <c r="L118" s="18"/>
      <c r="M118" s="18"/>
      <c r="N118" s="10">
        <f>HLOOKUP($N$99,$Q$99:$AB$120,20,FALSE)</f>
        <v>2600000</v>
      </c>
      <c r="O118" s="10">
        <f>HLOOKUP($O$99,$Q$99:$AB$120,20,FALSE)</f>
        <v>2600000</v>
      </c>
      <c r="P118" s="10">
        <f>HLOOKUP($P$99,$Q$99:$AB$120,20,FALSE)</f>
        <v>0</v>
      </c>
      <c r="Q118" s="17">
        <v>2600000</v>
      </c>
      <c r="R118" s="17">
        <v>2600000</v>
      </c>
      <c r="S118" s="17">
        <v>2600000</v>
      </c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1:28" ht="12.75" customHeight="1">
      <c r="K119" s="18" t="s">
        <v>39</v>
      </c>
      <c r="L119" s="18"/>
      <c r="M119" s="18"/>
      <c r="N119" s="21">
        <f>HLOOKUP($N$99,$Q$99:$AB$120,21,FALSE)</f>
        <v>0.04</v>
      </c>
      <c r="O119" s="21">
        <f>HLOOKUP($O$99,$Q$99:$AB$120,21,FALSE)</f>
        <v>0.04</v>
      </c>
      <c r="P119" s="21">
        <f>HLOOKUP($P$99,$Q$99:$AB$120,21,FALSE)</f>
        <v>0</v>
      </c>
      <c r="Q119" s="22">
        <v>0.04</v>
      </c>
      <c r="R119" s="22">
        <v>0.04</v>
      </c>
      <c r="S119" s="17">
        <v>0.04</v>
      </c>
      <c r="T119" s="17"/>
      <c r="U119" s="17"/>
      <c r="V119" s="17"/>
      <c r="W119" s="17"/>
      <c r="X119" s="17"/>
      <c r="Y119" s="17"/>
      <c r="Z119" s="17"/>
      <c r="AA119" s="17"/>
      <c r="AB119" s="17"/>
    </row>
    <row r="120" ht="12.75" customHeight="1"/>
    <row r="121" spans="11:16" ht="12.75" customHeight="1">
      <c r="K121" s="30" t="s">
        <v>67</v>
      </c>
      <c r="L121" s="18"/>
      <c r="M121" s="23"/>
      <c r="N121" s="32">
        <f>+N99</f>
        <v>2016</v>
      </c>
      <c r="O121" s="32">
        <f>+O99</f>
        <v>2017</v>
      </c>
      <c r="P121" s="32">
        <f>+P99</f>
        <v>2018</v>
      </c>
    </row>
    <row r="122" spans="11:19" ht="12.75" customHeight="1" outlineLevel="1">
      <c r="K122" s="18" t="s">
        <v>40</v>
      </c>
      <c r="L122" s="18" t="s">
        <v>41</v>
      </c>
      <c r="M122" s="18" t="s">
        <v>42</v>
      </c>
      <c r="N122" s="25">
        <f>HLOOKUP($N$99,$Q$99:$AB$129,24,FALSE)</f>
        <v>920</v>
      </c>
      <c r="O122" s="25">
        <f>HLOOKUP($O$99,$Q$99:$AB$129,24,FALSE)</f>
        <v>940</v>
      </c>
      <c r="P122" s="25">
        <f>HLOOKUP($P$99,$Q$99:$AB$129,24,FALSE)</f>
        <v>0</v>
      </c>
      <c r="Q122">
        <v>910</v>
      </c>
      <c r="R122">
        <v>920</v>
      </c>
      <c r="S122">
        <v>940</v>
      </c>
    </row>
    <row r="123" spans="11:19" ht="12.75" customHeight="1" outlineLevel="1">
      <c r="K123" s="18" t="s">
        <v>40</v>
      </c>
      <c r="L123" s="18" t="s">
        <v>41</v>
      </c>
      <c r="M123" s="18" t="s">
        <v>43</v>
      </c>
      <c r="N123" s="10">
        <f>HLOOKUP($N$99,$Q$99:$AB$129,25,FALSE)</f>
        <v>740</v>
      </c>
      <c r="O123" s="10">
        <f>HLOOKUP($O$99,$Q$99:$AB$129,25,FALSE)</f>
        <v>760</v>
      </c>
      <c r="P123" s="10">
        <f>HLOOKUP($P$99,$Q$99:$AB$129,25,FALSE)</f>
        <v>0</v>
      </c>
      <c r="Q123">
        <v>730</v>
      </c>
      <c r="R123">
        <v>740</v>
      </c>
      <c r="S123">
        <v>760</v>
      </c>
    </row>
    <row r="124" spans="11:19" ht="12.75" customHeight="1" outlineLevel="1">
      <c r="K124" s="18" t="s">
        <v>40</v>
      </c>
      <c r="L124" s="18" t="s">
        <v>44</v>
      </c>
      <c r="M124" s="18" t="s">
        <v>42</v>
      </c>
      <c r="N124" s="25">
        <f>HLOOKUP($N$99,$Q$99:$AB$129,26,FALSE)</f>
        <v>1110</v>
      </c>
      <c r="O124" s="25">
        <f>HLOOKUP($O$99,$Q$99:$AB$129,26,FALSE)</f>
        <v>1130</v>
      </c>
      <c r="P124" s="25">
        <f>HLOOKUP($P$99,$Q$99:$AB$129,26,FALSE)</f>
        <v>0</v>
      </c>
      <c r="Q124">
        <v>1100</v>
      </c>
      <c r="R124">
        <v>1110</v>
      </c>
      <c r="S124">
        <v>1130</v>
      </c>
    </row>
    <row r="125" spans="11:19" ht="12.75" customHeight="1" outlineLevel="1">
      <c r="K125" s="18" t="s">
        <v>40</v>
      </c>
      <c r="L125" s="18" t="s">
        <v>44</v>
      </c>
      <c r="M125" s="18" t="s">
        <v>43</v>
      </c>
      <c r="N125" s="10">
        <f>HLOOKUP($N$99,$Q$99:$AB$129,27,FALSE)</f>
        <v>860</v>
      </c>
      <c r="O125" s="10">
        <f>HLOOKUP($O$99,$Q$99:$AB$129,27,FALSE)</f>
        <v>880</v>
      </c>
      <c r="P125" s="10">
        <f>HLOOKUP($P$99,$Q$99:$AB$129,27,FALSE)</f>
        <v>0</v>
      </c>
      <c r="Q125">
        <v>850</v>
      </c>
      <c r="R125">
        <v>860</v>
      </c>
      <c r="S125">
        <v>880</v>
      </c>
    </row>
    <row r="126" spans="11:19" ht="12.75" customHeight="1" outlineLevel="1">
      <c r="K126" s="18" t="s">
        <v>45</v>
      </c>
      <c r="L126" s="18" t="s">
        <v>41</v>
      </c>
      <c r="M126" s="18" t="s">
        <v>42</v>
      </c>
      <c r="N126" s="25">
        <f>HLOOKUP($N$99,$Q$99:$AB$129,28,FALSE)</f>
        <v>500</v>
      </c>
      <c r="O126" s="25">
        <f>HLOOKUP($O$99,$Q$99:$AB$129,28,FALSE)</f>
        <v>510</v>
      </c>
      <c r="P126" s="25">
        <f>HLOOKUP($P$99,$Q$99:$AB$129,28,FALSE)</f>
        <v>0</v>
      </c>
      <c r="Q126">
        <v>500</v>
      </c>
      <c r="R126">
        <v>500</v>
      </c>
      <c r="S126">
        <v>510</v>
      </c>
    </row>
    <row r="127" spans="11:19" ht="12.75" customHeight="1" outlineLevel="1">
      <c r="K127" s="18" t="s">
        <v>45</v>
      </c>
      <c r="L127" s="18" t="s">
        <v>41</v>
      </c>
      <c r="M127" s="18" t="s">
        <v>43</v>
      </c>
      <c r="N127" s="10">
        <f>HLOOKUP($N$99,$Q$99:$AB$129,29,FALSE)</f>
        <v>440</v>
      </c>
      <c r="O127" s="10">
        <f>HLOOKUP($O$99,$Q$99:$AB$129,29,FALSE)</f>
        <v>450</v>
      </c>
      <c r="P127" s="10">
        <f>HLOOKUP($P$99,$Q$99:$AB$129,29,FALSE)</f>
        <v>0</v>
      </c>
      <c r="Q127">
        <v>430</v>
      </c>
      <c r="R127">
        <v>440</v>
      </c>
      <c r="S127">
        <v>450</v>
      </c>
    </row>
    <row r="128" spans="11:19" ht="12.75" customHeight="1" outlineLevel="1">
      <c r="K128" s="18" t="s">
        <v>45</v>
      </c>
      <c r="L128" s="18" t="s">
        <v>44</v>
      </c>
      <c r="M128" s="18" t="s">
        <v>42</v>
      </c>
      <c r="N128" s="25">
        <f>HLOOKUP($N$99,$Q$99:$AB$129,30,FALSE)</f>
        <v>680</v>
      </c>
      <c r="O128" s="25">
        <f>HLOOKUP($O$99,$Q$99:$AB$129,30,FALSE)</f>
        <v>700</v>
      </c>
      <c r="P128" s="25">
        <f>HLOOKUP($P$99,$Q$99:$AB$129,30,FALSE)</f>
        <v>0</v>
      </c>
      <c r="Q128">
        <v>670</v>
      </c>
      <c r="R128">
        <v>680</v>
      </c>
      <c r="S128">
        <v>700</v>
      </c>
    </row>
    <row r="129" spans="11:19" ht="12.75" customHeight="1" outlineLevel="1">
      <c r="K129" s="18" t="s">
        <v>45</v>
      </c>
      <c r="L129" s="18" t="s">
        <v>44</v>
      </c>
      <c r="M129" s="18" t="s">
        <v>43</v>
      </c>
      <c r="N129" s="10">
        <f>HLOOKUP($N$99,$Q$99:$AB$129,31,FALSE)</f>
        <v>570</v>
      </c>
      <c r="O129" s="10">
        <f>HLOOKUP($O$99,$Q$99:$AB$129,31,FALSE)</f>
        <v>580</v>
      </c>
      <c r="P129" s="10">
        <f>HLOOKUP($P$99,$Q$99:$AB$129,31,FALSE)</f>
        <v>0</v>
      </c>
      <c r="Q129">
        <v>560</v>
      </c>
      <c r="R129">
        <v>570</v>
      </c>
      <c r="S129">
        <v>580</v>
      </c>
    </row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2">
    <mergeCell ref="K23:N24"/>
    <mergeCell ref="M36:O36"/>
  </mergeCells>
  <printOptions/>
  <pageMargins left="0.8" right="0.27" top="0.26" bottom="0.28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I. Larsen</dc:creator>
  <cp:keywords/>
  <dc:description/>
  <cp:lastModifiedBy>Charlotte Schrøder</cp:lastModifiedBy>
  <cp:lastPrinted>2009-09-15T13:09:12Z</cp:lastPrinted>
  <dcterms:created xsi:type="dcterms:W3CDTF">2005-09-08T08:10:50Z</dcterms:created>
  <dcterms:modified xsi:type="dcterms:W3CDTF">2017-03-15T09:38:51Z</dcterms:modified>
  <cp:category/>
  <cp:version/>
  <cp:contentType/>
  <cp:contentStatus/>
</cp:coreProperties>
</file>